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esktop\"/>
    </mc:Choice>
  </mc:AlternateContent>
  <xr:revisionPtr revIDLastSave="0" documentId="13_ncr:1_{BF271A36-E348-40E9-8FBE-258605A66E01}" xr6:coauthVersionLast="47" xr6:coauthVersionMax="47" xr10:uidLastSave="{00000000-0000-0000-0000-000000000000}"/>
  <bookViews>
    <workbookView xWindow="-120" yWindow="-120" windowWidth="24270" windowHeight="15990" xr2:uid="{00000000-000D-0000-FFFF-FFFF00000000}"/>
  </bookViews>
  <sheets>
    <sheet name="SURCA Tool" sheetId="1" r:id="rId1"/>
  </sheets>
  <definedNames>
    <definedName name="BMI">'SURCA Tool'!$B$17</definedName>
    <definedName name="SBA">'SURCA Tool'!$B$9</definedName>
    <definedName name="SHR">'SURCA Tool'!$B$18</definedName>
    <definedName name="SPA">'SURCA Tool'!$B$10</definedName>
    <definedName name="Stature">'SURCA Tool'!$B$12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3" i="1" l="1"/>
  <c r="H48" i="1"/>
  <c r="H53" i="1"/>
  <c r="H38" i="1"/>
  <c r="H32" i="1"/>
  <c r="H31" i="1"/>
  <c r="B33" i="1"/>
  <c r="B17" i="1" l="1"/>
  <c r="B18" i="1"/>
  <c r="H30" i="1" l="1"/>
  <c r="B27" i="1"/>
  <c r="H49" i="1"/>
  <c r="H50" i="1"/>
  <c r="H51" i="1"/>
  <c r="H52" i="1"/>
  <c r="H47" i="1"/>
  <c r="H40" i="1"/>
  <c r="B28" i="1"/>
  <c r="H34" i="1"/>
  <c r="B29" i="1"/>
  <c r="H26" i="1"/>
  <c r="B34" i="1"/>
  <c r="H37" i="1"/>
  <c r="B31" i="1"/>
  <c r="H36" i="1"/>
  <c r="H35" i="1"/>
  <c r="H27" i="1"/>
  <c r="B26" i="1"/>
  <c r="B35" i="1"/>
  <c r="B30" i="1"/>
  <c r="H28" i="1"/>
  <c r="B32" i="1"/>
  <c r="H39" i="1"/>
  <c r="H29" i="1"/>
  <c r="M51" i="1" l="1"/>
  <c r="M50" i="1" s="1"/>
  <c r="M49" i="1" s="1"/>
  <c r="M48" i="1" s="1"/>
  <c r="M47" i="1" s="1"/>
  <c r="N51" i="1"/>
  <c r="N50" i="1" s="1"/>
  <c r="N49" i="1" s="1"/>
  <c r="N48" i="1" s="1"/>
  <c r="N47" i="1" s="1"/>
  <c r="N53" i="1"/>
  <c r="N54" i="1" s="1"/>
  <c r="M53" i="1"/>
  <c r="M54" i="1" s="1"/>
  <c r="M37" i="1"/>
  <c r="M38" i="1" s="1"/>
  <c r="M39" i="1" s="1"/>
  <c r="M40" i="1" s="1"/>
  <c r="N37" i="1"/>
  <c r="N38" i="1" s="1"/>
  <c r="N39" i="1" s="1"/>
  <c r="N40" i="1" s="1"/>
  <c r="M35" i="1"/>
  <c r="M34" i="1" s="1"/>
  <c r="M33" i="1" s="1"/>
  <c r="N35" i="1"/>
  <c r="N34" i="1" s="1"/>
  <c r="N33" i="1" s="1"/>
  <c r="B19" i="1" l="1"/>
  <c r="N32" i="1" l="1"/>
  <c r="N31" i="1" s="1"/>
  <c r="M32" i="1"/>
  <c r="M3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Matthieu Lebarbe</author>
  </authors>
  <commentList>
    <comment ref="B10" authorId="0" shapeId="0" xr:uid="{7A0FCA66-C1BB-4301-9142-185C888ED783}">
      <text>
        <r>
          <rPr>
            <sz val="9"/>
            <color indexed="81"/>
            <rFont val="Tahoma"/>
            <family val="2"/>
          </rPr>
          <t xml:space="preserve">Comparison with
Reed posture only
available for a
14 degree seat
pan angle.
</t>
        </r>
      </text>
    </comment>
  </commentList>
</comments>
</file>

<file path=xl/sharedStrings.xml><?xml version="1.0" encoding="utf-8"?>
<sst xmlns="http://schemas.openxmlformats.org/spreadsheetml/2006/main" count="148" uniqueCount="74">
  <si>
    <t>Université Gustave Eiffel, LBMC</t>
  </si>
  <si>
    <t>Contacts:</t>
  </si>
  <si>
    <t>Inputs</t>
  </si>
  <si>
    <t>Seatback angle</t>
  </si>
  <si>
    <t>deg.</t>
  </si>
  <si>
    <t>Seat pan angle</t>
  </si>
  <si>
    <t>Stature</t>
  </si>
  <si>
    <t>mm</t>
  </si>
  <si>
    <t>Body Weight</t>
  </si>
  <si>
    <t>kg</t>
  </si>
  <si>
    <t>Sitting Height</t>
  </si>
  <si>
    <t>Calculated Inputs</t>
  </si>
  <si>
    <t>BMI</t>
  </si>
  <si>
    <t>kg/m²</t>
  </si>
  <si>
    <t>Sitting Heigth Ratio</t>
  </si>
  <si>
    <t>Sitting Heigth Value</t>
  </si>
  <si>
    <t>Postural Outputs</t>
  </si>
  <si>
    <t>Toe</t>
  </si>
  <si>
    <t>Foot Height</t>
  </si>
  <si>
    <t>/</t>
  </si>
  <si>
    <t>xuguang.wang@univ-eiffel.fr</t>
  </si>
  <si>
    <t>R² Adj.</t>
  </si>
  <si>
    <t>A_Head</t>
  </si>
  <si>
    <t>A_Neck</t>
  </si>
  <si>
    <t>A_Thorax</t>
  </si>
  <si>
    <t>A_Abdomen</t>
  </si>
  <si>
    <t>A_Pelvis</t>
  </si>
  <si>
    <t>A_Thigh</t>
  </si>
  <si>
    <t>A_Leg</t>
  </si>
  <si>
    <t>A_Foot</t>
  </si>
  <si>
    <t>A_T1C7</t>
  </si>
  <si>
    <t>A_L1T12</t>
  </si>
  <si>
    <t>A_S1L5</t>
  </si>
  <si>
    <t>A_Hip</t>
  </si>
  <si>
    <t>A_Knee</t>
  </si>
  <si>
    <t>A_T2P</t>
  </si>
  <si>
    <t>Infraorbital</t>
  </si>
  <si>
    <t>C7/T1 joint</t>
  </si>
  <si>
    <t>C1/C0 joint</t>
  </si>
  <si>
    <t>S1/L5 joint</t>
  </si>
  <si>
    <t>L1/T12 joint</t>
  </si>
  <si>
    <t>Hip joint</t>
  </si>
  <si>
    <t>Knee joint</t>
  </si>
  <si>
    <t>Ankle joint</t>
  </si>
  <si>
    <t>A_Ankle</t>
  </si>
  <si>
    <t>Calcaneal tuberosity</t>
  </si>
  <si>
    <t>Segment length</t>
  </si>
  <si>
    <t>Landmarks</t>
  </si>
  <si>
    <t>Head</t>
  </si>
  <si>
    <t>Neck</t>
  </si>
  <si>
    <t>Thorax</t>
  </si>
  <si>
    <t>Lumbar</t>
  </si>
  <si>
    <t>Pelvis</t>
  </si>
  <si>
    <t>Thigh</t>
  </si>
  <si>
    <t>Leg</t>
  </si>
  <si>
    <t>Foot Back</t>
  </si>
  <si>
    <t xml:space="preserve">Foot </t>
  </si>
  <si>
    <t>Infraorbital - C1/C0 joint</t>
  </si>
  <si>
    <t>C1/C0 joint - C7/T1 joint</t>
  </si>
  <si>
    <t>C7/T1 joint - L1/T12 joint</t>
  </si>
  <si>
    <t>L1/T12 joint - S1/L5 joint</t>
  </si>
  <si>
    <t>S1/L5 joint - Hip joint</t>
  </si>
  <si>
    <t>Hip joint - Knee joint</t>
  </si>
  <si>
    <t>Knee joint - Ankle joint</t>
  </si>
  <si>
    <t>Arch Apex (Calculated) - Calcaneal tuberosity</t>
  </si>
  <si>
    <t>Ankle joint - Arch Apex (Calculated)</t>
  </si>
  <si>
    <t>Calcaneal tuberosity - Toe</t>
  </si>
  <si>
    <t>Posture reconstruction</t>
  </si>
  <si>
    <t>Current study evaluation</t>
  </si>
  <si>
    <r>
      <t xml:space="preserve">Reed et al. (2018) evaluation
</t>
    </r>
    <r>
      <rPr>
        <sz val="12"/>
        <color theme="1"/>
        <rFont val="Gill Sans MT"/>
        <family val="2"/>
      </rPr>
      <t>Reed, M. P., &amp; Ebert, S. M. (2018). Effects of recline on passenger posture and belt fit. University of Michigan Transportation Research Institute. Ann Arbor (MI). https://deepblue. lib. umich. edu/handle/2027.42/146263.</t>
    </r>
  </si>
  <si>
    <t>April 30 2026</t>
  </si>
  <si>
    <t>Cyrille Grébonval, Philippe Beillas, Xuguang Wang (2026) Reclined postures when changing both seat back and seat pan angles, DOI: 10.1080/15389588.2026.2667940, Traffic Injury Prevention</t>
  </si>
  <si>
    <t>Last revision:</t>
  </si>
  <si>
    <t>License: Creative Commons Attribution (CC-BY-4.0)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</si>
</sst>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"/>
    <numFmt numFmtId="165" formatCode="0.0%"/>
  </numFmts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Gill Sans MT"/>
      <family val="2"/>
    </font>
    <font>
      <sz val="11"/>
      <color theme="1"/>
      <name val="Gill Sans MT"/>
      <family val="2"/>
    </font>
    <font>
      <u/>
      <sz val="11"/>
      <color theme="10"/>
      <name val="Gill Sans MT"/>
      <family val="2"/>
    </font>
    <font>
      <b/>
      <sz val="11"/>
      <color rgb="FF0070C0"/>
      <name val="Gill Sans MT"/>
      <family val="2"/>
    </font>
    <font>
      <i/>
      <sz val="11"/>
      <color theme="1"/>
      <name val="Gill Sans MT"/>
      <family val="2"/>
    </font>
    <font>
      <b/>
      <u/>
      <sz val="14"/>
      <color theme="1"/>
      <name val="Gill Sans MT"/>
      <family val="2"/>
    </font>
    <font>
      <sz val="12"/>
      <color theme="1"/>
      <name val="Gill Sans MT"/>
      <family val="2"/>
    </font>
    <font>
      <b/>
      <sz val="11"/>
      <color rgb="FF00B050"/>
      <name val="Gill Sans MT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9" fontId="5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1" fontId="0" fillId="0" borderId="0" xfId="0" applyNumberFormat="1"/>
    <xf numFmtId="9" fontId="0" fillId="0" borderId="0" xfId="0" applyNumberFormat="1"/>
    <xf numFmtId="0" fontId="7" fillId="0" borderId="0" xfId="0" applyFont="1"/>
    <xf numFmtId="0" fontId="8" fillId="0" borderId="0" xfId="1" applyFont="1"/>
    <xf numFmtId="0" fontId="8" fillId="0" borderId="0" xfId="1" applyFont="1" applyAlignment="1">
      <alignment horizontal="left"/>
    </xf>
    <xf numFmtId="14" fontId="7" fillId="0" borderId="0" xfId="0" applyNumberFormat="1" applyFont="1"/>
    <xf numFmtId="0" fontId="6" fillId="2" borderId="1" xfId="0" applyFont="1" applyFill="1" applyBorder="1"/>
    <xf numFmtId="0" fontId="6" fillId="2" borderId="2" xfId="0" applyFont="1" applyFill="1" applyBorder="1"/>
    <xf numFmtId="0" fontId="6" fillId="2" borderId="3" xfId="0" applyFont="1" applyFill="1" applyBorder="1"/>
    <xf numFmtId="0" fontId="7" fillId="0" borderId="4" xfId="0" applyFont="1" applyBorder="1"/>
    <xf numFmtId="0" fontId="7" fillId="2" borderId="0" xfId="0" applyFont="1" applyFill="1"/>
    <xf numFmtId="0" fontId="7" fillId="0" borderId="5" xfId="0" applyFont="1" applyBorder="1"/>
    <xf numFmtId="0" fontId="7" fillId="0" borderId="0" xfId="0" applyFont="1" applyAlignment="1">
      <alignment horizontal="center"/>
    </xf>
    <xf numFmtId="0" fontId="7" fillId="0" borderId="6" xfId="0" applyFont="1" applyBorder="1"/>
    <xf numFmtId="0" fontId="7" fillId="2" borderId="7" xfId="0" applyFont="1" applyFill="1" applyBorder="1"/>
    <xf numFmtId="0" fontId="7" fillId="0" borderId="8" xfId="0" applyFont="1" applyBorder="1"/>
    <xf numFmtId="164" fontId="7" fillId="0" borderId="0" xfId="0" applyNumberFormat="1" applyFont="1"/>
    <xf numFmtId="2" fontId="7" fillId="0" borderId="0" xfId="0" applyNumberFormat="1" applyFont="1"/>
    <xf numFmtId="0" fontId="7" fillId="0" borderId="7" xfId="0" applyFont="1" applyBorder="1"/>
    <xf numFmtId="0" fontId="9" fillId="0" borderId="1" xfId="0" applyFont="1" applyBorder="1"/>
    <xf numFmtId="0" fontId="9" fillId="0" borderId="2" xfId="0" applyFont="1" applyBorder="1"/>
    <xf numFmtId="0" fontId="9" fillId="0" borderId="12" xfId="0" applyFont="1" applyBorder="1"/>
    <xf numFmtId="0" fontId="9" fillId="0" borderId="3" xfId="0" applyFont="1" applyBorder="1"/>
    <xf numFmtId="0" fontId="7" fillId="0" borderId="13" xfId="0" applyFont="1" applyBorder="1"/>
    <xf numFmtId="0" fontId="10" fillId="0" borderId="5" xfId="0" applyFont="1" applyBorder="1"/>
    <xf numFmtId="165" fontId="7" fillId="0" borderId="5" xfId="2" applyNumberFormat="1" applyFont="1" applyBorder="1"/>
    <xf numFmtId="1" fontId="7" fillId="0" borderId="0" xfId="0" applyNumberFormat="1" applyFont="1"/>
    <xf numFmtId="1" fontId="7" fillId="0" borderId="13" xfId="0" applyNumberFormat="1" applyFont="1" applyBorder="1"/>
    <xf numFmtId="0" fontId="7" fillId="0" borderId="2" xfId="0" applyFont="1" applyBorder="1"/>
    <xf numFmtId="0" fontId="7" fillId="0" borderId="3" xfId="0" applyFont="1" applyBorder="1"/>
    <xf numFmtId="0" fontId="7" fillId="0" borderId="9" xfId="0" applyFont="1" applyBorder="1"/>
    <xf numFmtId="1" fontId="7" fillId="0" borderId="10" xfId="0" applyNumberFormat="1" applyFont="1" applyBorder="1"/>
    <xf numFmtId="0" fontId="7" fillId="0" borderId="11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1" fontId="7" fillId="0" borderId="14" xfId="0" applyNumberFormat="1" applyFont="1" applyBorder="1"/>
    <xf numFmtId="165" fontId="7" fillId="0" borderId="11" xfId="2" applyNumberFormat="1" applyFont="1" applyBorder="1"/>
    <xf numFmtId="2" fontId="7" fillId="0" borderId="7" xfId="0" applyNumberFormat="1" applyFont="1" applyBorder="1"/>
    <xf numFmtId="0" fontId="7" fillId="0" borderId="15" xfId="0" applyFont="1" applyBorder="1"/>
    <xf numFmtId="0" fontId="10" fillId="0" borderId="8" xfId="0" applyFont="1" applyBorder="1"/>
    <xf numFmtId="165" fontId="7" fillId="0" borderId="8" xfId="2" applyNumberFormat="1" applyFont="1" applyBorder="1"/>
    <xf numFmtId="1" fontId="7" fillId="0" borderId="7" xfId="0" applyNumberFormat="1" applyFont="1" applyBorder="1"/>
    <xf numFmtId="1" fontId="7" fillId="0" borderId="15" xfId="0" applyNumberFormat="1" applyFont="1" applyBorder="1"/>
    <xf numFmtId="0" fontId="7" fillId="0" borderId="1" xfId="0" applyFont="1" applyBorder="1"/>
    <xf numFmtId="1" fontId="7" fillId="0" borderId="2" xfId="0" applyNumberFormat="1" applyFont="1" applyBorder="1"/>
    <xf numFmtId="1" fontId="7" fillId="0" borderId="12" xfId="0" applyNumberFormat="1" applyFont="1" applyBorder="1"/>
    <xf numFmtId="165" fontId="7" fillId="0" borderId="3" xfId="2" applyNumberFormat="1" applyFont="1" applyBorder="1"/>
    <xf numFmtId="0" fontId="7" fillId="0" borderId="8" xfId="0" applyFont="1" applyBorder="1" applyAlignment="1">
      <alignment horizontal="center"/>
    </xf>
    <xf numFmtId="0" fontId="13" fillId="0" borderId="1" xfId="0" applyFont="1" applyBorder="1"/>
    <xf numFmtId="0" fontId="13" fillId="0" borderId="2" xfId="0" applyFont="1" applyBorder="1"/>
    <xf numFmtId="0" fontId="13" fillId="0" borderId="12" xfId="0" applyFont="1" applyBorder="1"/>
    <xf numFmtId="0" fontId="13" fillId="0" borderId="3" xfId="0" applyFont="1" applyBorder="1"/>
    <xf numFmtId="1" fontId="7" fillId="0" borderId="7" xfId="0" applyNumberFormat="1" applyFont="1" applyBorder="1" applyAlignment="1">
      <alignment horizontal="right"/>
    </xf>
    <xf numFmtId="165" fontId="7" fillId="0" borderId="8" xfId="2" applyNumberFormat="1" applyFont="1" applyBorder="1" applyAlignment="1">
      <alignment horizontal="right"/>
    </xf>
    <xf numFmtId="0" fontId="6" fillId="0" borderId="0" xfId="0" applyFont="1" applyAlignment="1">
      <alignment horizontal="left"/>
    </xf>
    <xf numFmtId="0" fontId="11" fillId="4" borderId="0" xfId="0" applyFont="1" applyFill="1" applyAlignment="1">
      <alignment horizontal="left" vertical="top" wrapText="1"/>
    </xf>
    <xf numFmtId="0" fontId="11" fillId="4" borderId="0" xfId="0" applyFont="1" applyFill="1" applyAlignment="1">
      <alignment horizontal="left" vertical="top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0" xfId="0" applyFont="1" applyAlignment="1">
      <alignment horizontal="left"/>
    </xf>
    <xf numFmtId="14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11" fillId="3" borderId="0" xfId="0" applyFont="1" applyFill="1" applyAlignment="1">
      <alignment horizontal="left" vertical="top"/>
    </xf>
  </cellXfs>
  <cellStyles count="3">
    <cellStyle name="Lien hypertexte" xfId="1" builtinId="8"/>
    <cellStyle name="Normal" xfId="0" builtinId="0"/>
    <cellStyle name="Pourcentage" xfId="2" builtinId="5"/>
  </cellStyles>
  <dxfs count="0"/>
  <tableStyles count="1" defaultTableStyle="TableStyleMedium2" defaultPivotStyle="PivotStyleLight16">
    <tableStyle name="Invisible" pivot="0" table="0" count="0" xr9:uid="{207F5C4F-2F2D-4627-AABA-3CCF12481D5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600" b="1"/>
              <a:t>Occupant Posture Prediction</a:t>
            </a:r>
          </a:p>
        </c:rich>
      </c:tx>
      <c:layout>
        <c:manualLayout>
          <c:xMode val="edge"/>
          <c:yMode val="edge"/>
          <c:x val="0.23730399834858693"/>
          <c:y val="2.9146946546468708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3054390938728768E-2"/>
          <c:y val="7.8458528811250705E-2"/>
          <c:w val="0.89295919136930368"/>
          <c:h val="0.83282981254799349"/>
        </c:manualLayout>
      </c:layout>
      <c:scatterChart>
        <c:scatterStyle val="lineMarker"/>
        <c:varyColors val="0"/>
        <c:ser>
          <c:idx val="2"/>
          <c:order val="0"/>
          <c:tx>
            <c:v>Current study</c:v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xVal>
            <c:numRef>
              <c:f>'SURCA Tool'!$M$31:$M$40</c:f>
              <c:numCache>
                <c:formatCode>0</c:formatCode>
                <c:ptCount val="10"/>
                <c:pt idx="0">
                  <c:v>474.91482686211475</c:v>
                </c:pt>
                <c:pt idx="1">
                  <c:v>508.18144270964569</c:v>
                </c:pt>
                <c:pt idx="2">
                  <c:v>463.63403862840289</c:v>
                </c:pt>
                <c:pt idx="3">
                  <c:v>264.2874524866894</c:v>
                </c:pt>
                <c:pt idx="4">
                  <c:v>107.87990890773604</c:v>
                </c:pt>
                <c:pt idx="5">
                  <c:v>0</c:v>
                </c:pt>
                <c:pt idx="6">
                  <c:v>-401.82836159735234</c:v>
                </c:pt>
                <c:pt idx="7">
                  <c:v>-680.48386451402325</c:v>
                </c:pt>
                <c:pt idx="8">
                  <c:v>-695.44359224302639</c:v>
                </c:pt>
                <c:pt idx="9">
                  <c:v>-904.84938797115683</c:v>
                </c:pt>
              </c:numCache>
            </c:numRef>
          </c:xVal>
          <c:yVal>
            <c:numRef>
              <c:f>'SURCA Tool'!$N$31:$N$40</c:f>
              <c:numCache>
                <c:formatCode>0</c:formatCode>
                <c:ptCount val="10"/>
                <c:pt idx="0">
                  <c:v>405.75704822297143</c:v>
                </c:pt>
                <c:pt idx="1">
                  <c:v>335.37843495854941</c:v>
                </c:pt>
                <c:pt idx="2">
                  <c:v>266.86211105119691</c:v>
                </c:pt>
                <c:pt idx="3">
                  <c:v>81.655433425715785</c:v>
                </c:pt>
                <c:pt idx="4">
                  <c:v>12.182609464040384</c:v>
                </c:pt>
                <c:pt idx="5">
                  <c:v>0</c:v>
                </c:pt>
                <c:pt idx="6">
                  <c:v>69.104504506588796</c:v>
                </c:pt>
                <c:pt idx="7">
                  <c:v>-211.50320322130074</c:v>
                </c:pt>
                <c:pt idx="8">
                  <c:v>-289.01202555048269</c:v>
                </c:pt>
                <c:pt idx="9">
                  <c:v>-131.73883738528343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CC1-437D-AE98-16608835066C}"/>
            </c:ext>
          </c:extLst>
        </c:ser>
        <c:ser>
          <c:idx val="0"/>
          <c:order val="1"/>
          <c:tx>
            <c:v>Reed et al. (2018)</c:v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xVal>
            <c:numRef>
              <c:f>'SURCA Tool'!$M$47:$M$54</c:f>
              <c:numCache>
                <c:formatCode>0</c:formatCode>
                <c:ptCount val="8"/>
                <c:pt idx="0">
                  <c:v>434.98048333894866</c:v>
                </c:pt>
                <c:pt idx="1">
                  <c:v>494.70480818396197</c:v>
                </c:pt>
                <c:pt idx="2">
                  <c:v>434.8825028265403</c:v>
                </c:pt>
                <c:pt idx="3">
                  <c:v>244.85534914781118</c:v>
                </c:pt>
                <c:pt idx="4">
                  <c:v>98.036454141413543</c:v>
                </c:pt>
                <c:pt idx="5">
                  <c:v>0</c:v>
                </c:pt>
                <c:pt idx="6">
                  <c:v>-397.88376866550072</c:v>
                </c:pt>
                <c:pt idx="7">
                  <c:v>-668.29356769954211</c:v>
                </c:pt>
              </c:numCache>
            </c:numRef>
          </c:xVal>
          <c:yVal>
            <c:numRef>
              <c:f>'SURCA Tool'!$N$47:$N$54</c:f>
              <c:numCache>
                <c:formatCode>0</c:formatCode>
                <c:ptCount val="8"/>
                <c:pt idx="0">
                  <c:v>434.94874702422561</c:v>
                </c:pt>
                <c:pt idx="1">
                  <c:v>385.02057905485583</c:v>
                </c:pt>
                <c:pt idx="2">
                  <c:v>329.34069369328051</c:v>
                </c:pt>
                <c:pt idx="3">
                  <c:v>134.58377928923395</c:v>
                </c:pt>
                <c:pt idx="4">
                  <c:v>46.640587246230822</c:v>
                </c:pt>
                <c:pt idx="5">
                  <c:v>0</c:v>
                </c:pt>
                <c:pt idx="6">
                  <c:v>89.050386633927559</c:v>
                </c:pt>
                <c:pt idx="7">
                  <c:v>-199.5117652994347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CC1-437D-AE98-166088350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7439808"/>
        <c:axId val="257440224"/>
      </c:scatterChart>
      <c:valAx>
        <c:axId val="257439808"/>
        <c:scaling>
          <c:orientation val="minMax"/>
          <c:max val="600"/>
          <c:min val="-1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7440224"/>
        <c:crosses val="autoZero"/>
        <c:crossBetween val="midCat"/>
        <c:majorUnit val="200"/>
      </c:valAx>
      <c:valAx>
        <c:axId val="257440224"/>
        <c:scaling>
          <c:orientation val="minMax"/>
          <c:max val="800"/>
          <c:min val="-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7439808"/>
        <c:crosses val="autoZero"/>
        <c:crossBetween val="midCat"/>
        <c:majorUnit val="200"/>
      </c:valAx>
    </c:plotArea>
    <c:legend>
      <c:legendPos val="b"/>
      <c:layout>
        <c:manualLayout>
          <c:xMode val="edge"/>
          <c:yMode val="edge"/>
          <c:x val="0.12335041829963879"/>
          <c:y val="0.91619757832656046"/>
          <c:w val="0.75329873187436458"/>
          <c:h val="8.0296733023590444E-2"/>
        </c:manualLayout>
      </c:layout>
      <c:overlay val="0"/>
      <c:txPr>
        <a:bodyPr/>
        <a:lstStyle/>
        <a:p>
          <a:pPr>
            <a:defRPr sz="1400"/>
          </a:pPr>
          <a:endParaRPr lang="fr-FR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666750</xdr:colOff>
      <xdr:row>3</xdr:row>
      <xdr:rowOff>28575</xdr:rowOff>
    </xdr:from>
    <xdr:to>
      <xdr:col>18</xdr:col>
      <xdr:colOff>466726</xdr:colOff>
      <xdr:row>19</xdr:row>
      <xdr:rowOff>104775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2062</xdr:colOff>
      <xdr:row>24</xdr:row>
      <xdr:rowOff>52634</xdr:rowOff>
    </xdr:from>
    <xdr:to>
      <xdr:col>14</xdr:col>
      <xdr:colOff>659975</xdr:colOff>
      <xdr:row>28</xdr:row>
      <xdr:rowOff>105070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98A4356F-DE7D-37D0-9D41-BF7EFF093BB5}"/>
            </a:ext>
          </a:extLst>
        </xdr:cNvPr>
        <xdr:cNvSpPr txBox="1"/>
      </xdr:nvSpPr>
      <xdr:spPr>
        <a:xfrm>
          <a:off x="12041662" y="3729284"/>
          <a:ext cx="3458263" cy="81443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In the </a:t>
          </a:r>
          <a:r>
            <a:rPr lang="fr-FR" sz="1100" b="1"/>
            <a:t>LABORATORY</a:t>
          </a:r>
          <a:r>
            <a:rPr lang="fr-FR" sz="1100" b="1" baseline="0"/>
            <a:t> CS </a:t>
          </a:r>
          <a:r>
            <a:rPr lang="fr-FR" sz="1100" baseline="0"/>
            <a:t>(not Seat CS)</a:t>
          </a:r>
          <a:endParaRPr lang="fr-FR" sz="1100"/>
        </a:p>
        <a:p>
          <a:r>
            <a:rPr lang="fr-FR" sz="1100" b="1">
              <a:solidFill>
                <a:schemeClr val="accent1"/>
              </a:solidFill>
            </a:rPr>
            <a:t>With H-point as the origin of the CS</a:t>
          </a:r>
        </a:p>
        <a:p>
          <a:pPr algn="l"/>
          <a:r>
            <a:rPr lang="fr-FR" sz="1100"/>
            <a:t>X Backward</a:t>
          </a:r>
        </a:p>
        <a:p>
          <a:pPr algn="l"/>
          <a:r>
            <a:rPr lang="fr-FR" sz="1100"/>
            <a:t>Z Upward</a:t>
          </a:r>
        </a:p>
      </xdr:txBody>
    </xdr:sp>
    <xdr:clientData/>
  </xdr:twoCellAnchor>
  <xdr:twoCellAnchor>
    <xdr:from>
      <xdr:col>13</xdr:col>
      <xdr:colOff>106444</xdr:colOff>
      <xdr:row>26</xdr:row>
      <xdr:rowOff>76789</xdr:rowOff>
    </xdr:from>
    <xdr:to>
      <xdr:col>13</xdr:col>
      <xdr:colOff>666945</xdr:colOff>
      <xdr:row>29</xdr:row>
      <xdr:rowOff>123825</xdr:rowOff>
    </xdr:to>
    <xdr:sp macro="" textlink="">
      <xdr:nvSpPr>
        <xdr:cNvPr id="10" name="Flèche : bas 9">
          <a:extLst>
            <a:ext uri="{FF2B5EF4-FFF2-40B4-BE49-F238E27FC236}">
              <a16:creationId xmlns:a16="http://schemas.microsoft.com/office/drawing/2014/main" id="{E550EDA6-44EA-4B23-A106-0B996BB82ABA}"/>
            </a:ext>
          </a:extLst>
        </xdr:cNvPr>
        <xdr:cNvSpPr/>
      </xdr:nvSpPr>
      <xdr:spPr>
        <a:xfrm>
          <a:off x="13422394" y="5105989"/>
          <a:ext cx="560501" cy="628061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1000125</xdr:colOff>
      <xdr:row>3</xdr:row>
      <xdr:rowOff>28575</xdr:rowOff>
    </xdr:from>
    <xdr:to>
      <xdr:col>11</xdr:col>
      <xdr:colOff>1387993</xdr:colOff>
      <xdr:row>17</xdr:row>
      <xdr:rowOff>15673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661CA4A9-543D-A8BE-11BB-AB9E11BA2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38625" y="409575"/>
          <a:ext cx="8259328" cy="310558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LEBARBE Mathieu (renexter)" id="{F727C8C2-56AE-4A59-A157-113562F48621}" userId="S::mathieu.lebarbe-extern@renault.com::835c7226-cd34-4361-b19e-eb14e5547ba0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33" dT="2022-06-21T13:10:41.40" personId="{F727C8C2-56AE-4A59-A157-113562F48621}" id="{7A9D79A6-81CE-4579-BB4D-737A5738B3C6}">
    <text>Wismans et al. 1986, SAE paper n° 861893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xuguang.wang@univ-eiffel.fr" TargetMode="External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9"/>
  <sheetViews>
    <sheetView tabSelected="1" zoomScaleNormal="100" workbookViewId="0">
      <selection activeCell="A4" sqref="A4"/>
    </sheetView>
  </sheetViews>
  <sheetFormatPr baseColWidth="10" defaultColWidth="11.42578125" defaultRowHeight="15" x14ac:dyDescent="0.25"/>
  <cols>
    <col min="1" max="1" width="25.7109375" customWidth="1"/>
    <col min="4" max="4" width="41.42578125" bestFit="1" customWidth="1"/>
    <col min="5" max="5" width="13.5703125" customWidth="1"/>
    <col min="6" max="9" width="12.140625" customWidth="1"/>
    <col min="10" max="10" width="8.140625" bestFit="1" customWidth="1"/>
    <col min="11" max="11" width="6.28515625" customWidth="1"/>
    <col min="12" max="12" width="24.7109375" bestFit="1" customWidth="1"/>
    <col min="13" max="14" width="13" customWidth="1"/>
  </cols>
  <sheetData>
    <row r="1" spans="1:19" ht="17.25" x14ac:dyDescent="0.35">
      <c r="A1" s="61" t="s">
        <v>71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4"/>
      <c r="N1" s="4"/>
      <c r="O1" s="4"/>
      <c r="P1" s="4"/>
      <c r="Q1" s="4"/>
      <c r="R1" s="4"/>
      <c r="S1" s="4"/>
    </row>
    <row r="2" spans="1:19" ht="17.25" x14ac:dyDescent="0.35">
      <c r="A2" s="61" t="s">
        <v>0</v>
      </c>
      <c r="B2" s="61"/>
      <c r="C2" s="61"/>
      <c r="D2" s="61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17.25" x14ac:dyDescent="0.35">
      <c r="A3" s="55" t="s">
        <v>73</v>
      </c>
      <c r="B3" s="55"/>
      <c r="C3" s="55"/>
      <c r="D3" s="55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ht="17.25" x14ac:dyDescent="0.35">
      <c r="A4" s="4" t="s">
        <v>1</v>
      </c>
      <c r="B4" s="5" t="s">
        <v>20</v>
      </c>
      <c r="C4" s="6"/>
      <c r="D4" s="6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ht="17.25" x14ac:dyDescent="0.35">
      <c r="A5" s="4" t="s">
        <v>72</v>
      </c>
      <c r="B5" s="62" t="s">
        <v>70</v>
      </c>
      <c r="C5" s="63"/>
      <c r="D5" s="6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19" ht="17.25" x14ac:dyDescent="0.35">
      <c r="A6" s="4"/>
      <c r="B6" s="7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18" thickBot="1" x14ac:dyDescent="0.4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ht="18" thickBot="1" x14ac:dyDescent="0.4">
      <c r="A8" s="8" t="s">
        <v>2</v>
      </c>
      <c r="B8" s="9"/>
      <c r="C8" s="10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  <row r="9" spans="1:19" ht="17.25" x14ac:dyDescent="0.35">
      <c r="A9" s="11" t="s">
        <v>3</v>
      </c>
      <c r="B9" s="12">
        <v>60</v>
      </c>
      <c r="C9" s="13" t="s">
        <v>4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</row>
    <row r="10" spans="1:19" ht="17.25" x14ac:dyDescent="0.35">
      <c r="A10" s="11" t="s">
        <v>5</v>
      </c>
      <c r="B10" s="12">
        <v>14</v>
      </c>
      <c r="C10" s="13" t="s">
        <v>4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spans="1:19" ht="17.25" x14ac:dyDescent="0.35">
      <c r="A11" s="11"/>
      <c r="B11" s="4"/>
      <c r="C11" s="13"/>
      <c r="D11" s="14"/>
      <c r="E11" s="14"/>
      <c r="F11" s="1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pans="1:19" ht="17.25" x14ac:dyDescent="0.35">
      <c r="A12" s="11" t="s">
        <v>6</v>
      </c>
      <c r="B12" s="12">
        <v>1694</v>
      </c>
      <c r="C12" s="13" t="s">
        <v>7</v>
      </c>
      <c r="D12" s="14"/>
      <c r="E12" s="14"/>
      <c r="F12" s="1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 ht="17.25" x14ac:dyDescent="0.35">
      <c r="A13" s="11" t="s">
        <v>8</v>
      </c>
      <c r="B13" s="12">
        <v>84</v>
      </c>
      <c r="C13" s="13" t="s">
        <v>9</v>
      </c>
      <c r="D13" s="14"/>
      <c r="E13" s="14"/>
      <c r="F13" s="1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19" ht="18" thickBot="1" x14ac:dyDescent="0.4">
      <c r="A14" s="15" t="s">
        <v>10</v>
      </c>
      <c r="B14" s="16"/>
      <c r="C14" s="17" t="s">
        <v>7</v>
      </c>
      <c r="D14" s="14"/>
      <c r="E14" s="14"/>
      <c r="F14" s="1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19" ht="18" thickBot="1" x14ac:dyDescent="0.4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19" ht="18" thickBot="1" x14ac:dyDescent="0.4">
      <c r="A16" s="58" t="s">
        <v>11</v>
      </c>
      <c r="B16" s="59"/>
      <c r="C16" s="60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1:19" ht="17.25" x14ac:dyDescent="0.35">
      <c r="A17" s="11" t="s">
        <v>12</v>
      </c>
      <c r="B17" s="18">
        <f>B13/(B12/1000)^2</f>
        <v>29.272005229931601</v>
      </c>
      <c r="C17" s="13" t="s">
        <v>13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</row>
    <row r="18" spans="1:19" ht="17.25" x14ac:dyDescent="0.35">
      <c r="A18" s="11" t="s">
        <v>14</v>
      </c>
      <c r="B18" s="19">
        <f>IF(B14=0,0.52,B14/B12)</f>
        <v>0.52</v>
      </c>
      <c r="C18" s="13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spans="1:19" ht="18" thickBot="1" x14ac:dyDescent="0.4">
      <c r="A19" s="15" t="s">
        <v>15</v>
      </c>
      <c r="B19" s="20">
        <f>IF(B14=0,B12*0.52,B14)</f>
        <v>880.88</v>
      </c>
      <c r="C19" s="17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pans="1:19" ht="17.25" x14ac:dyDescent="0.3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spans="1:19" ht="17.25" x14ac:dyDescent="0.3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1:19" ht="21" customHeight="1" x14ac:dyDescent="0.25">
      <c r="A22" s="64" t="s">
        <v>68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</row>
    <row r="23" spans="1:19" ht="21" customHeight="1" x14ac:dyDescent="0.25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</row>
    <row r="24" spans="1:19" ht="18" thickBot="1" x14ac:dyDescent="0.4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pans="1:19" ht="18" thickBot="1" x14ac:dyDescent="0.4">
      <c r="A25" s="21" t="s">
        <v>46</v>
      </c>
      <c r="B25" s="22"/>
      <c r="C25" s="23"/>
      <c r="D25" s="24" t="s">
        <v>47</v>
      </c>
      <c r="E25" s="24" t="s">
        <v>21</v>
      </c>
      <c r="F25" s="4"/>
      <c r="G25" s="21" t="s">
        <v>16</v>
      </c>
      <c r="H25" s="22"/>
      <c r="I25" s="23"/>
      <c r="J25" s="24" t="s">
        <v>21</v>
      </c>
      <c r="K25" s="4"/>
      <c r="L25" s="4"/>
      <c r="M25" s="4"/>
      <c r="N25" s="4"/>
      <c r="O25" s="4"/>
      <c r="P25" s="4"/>
      <c r="Q25" s="4"/>
      <c r="R25" s="4"/>
      <c r="S25" s="4"/>
    </row>
    <row r="26" spans="1:19" ht="17.25" x14ac:dyDescent="0.35">
      <c r="A26" s="11" t="s">
        <v>48</v>
      </c>
      <c r="B26" s="19">
        <f xml:space="preserve"> -441.928 + (0.130699*Stature) + (573.786*SHR)</f>
        <v>77.844826000000012</v>
      </c>
      <c r="C26" s="25" t="s">
        <v>7</v>
      </c>
      <c r="D26" s="26" t="s">
        <v>57</v>
      </c>
      <c r="E26" s="27">
        <v>0.42</v>
      </c>
      <c r="F26" s="4"/>
      <c r="G26" s="11" t="s">
        <v>22</v>
      </c>
      <c r="H26" s="28">
        <f xml:space="preserve"> (-337.02) + (0.91*SBA) + (667.54*SHR)</f>
        <v>64.700800000000015</v>
      </c>
      <c r="I26" s="29" t="s">
        <v>4</v>
      </c>
      <c r="J26" s="27">
        <v>0.57199999999999995</v>
      </c>
      <c r="K26" s="4"/>
      <c r="L26" s="4"/>
      <c r="M26" s="4"/>
      <c r="N26" s="4"/>
      <c r="O26" s="4"/>
      <c r="P26" s="4"/>
      <c r="Q26" s="4"/>
      <c r="R26" s="4"/>
      <c r="S26" s="4"/>
    </row>
    <row r="27" spans="1:19" ht="17.25" x14ac:dyDescent="0.35">
      <c r="A27" s="11" t="s">
        <v>49</v>
      </c>
      <c r="B27" s="19">
        <f xml:space="preserve"> 261.813 - (6.15223*BMI)</f>
        <v>81.724891264257877</v>
      </c>
      <c r="C27" s="25" t="s">
        <v>7</v>
      </c>
      <c r="D27" s="26" t="s">
        <v>58</v>
      </c>
      <c r="E27" s="27">
        <v>0.28999999999999998</v>
      </c>
      <c r="F27" s="4"/>
      <c r="G27" s="11" t="s">
        <v>23</v>
      </c>
      <c r="H27" s="28">
        <f xml:space="preserve"> (-382.99) + (0.9*SBA) + (0.0512*Stature) + (529.4*SHR)</f>
        <v>33.030799999999999</v>
      </c>
      <c r="I27" s="29" t="s">
        <v>4</v>
      </c>
      <c r="J27" s="27">
        <v>0.53300000000000003</v>
      </c>
      <c r="K27" s="4"/>
      <c r="L27" s="4"/>
      <c r="M27" s="4"/>
      <c r="N27" s="4"/>
      <c r="O27" s="4"/>
      <c r="P27" s="4"/>
      <c r="Q27" s="4"/>
      <c r="R27" s="4"/>
      <c r="S27" s="4"/>
    </row>
    <row r="28" spans="1:19" ht="17.25" x14ac:dyDescent="0.35">
      <c r="A28" s="11" t="s">
        <v>50</v>
      </c>
      <c r="B28" s="19">
        <f xml:space="preserve"> -312.171 + (0.142347*Stature) + (659.883*SHR)</f>
        <v>272.10397799999998</v>
      </c>
      <c r="C28" s="25" t="s">
        <v>7</v>
      </c>
      <c r="D28" s="26" t="s">
        <v>59</v>
      </c>
      <c r="E28" s="27">
        <v>0.45</v>
      </c>
      <c r="F28" s="4"/>
      <c r="G28" s="11" t="s">
        <v>24</v>
      </c>
      <c r="H28" s="28">
        <f xml:space="preserve"> (7.12) + (1.04*SBA) + (0.0079*Stature) + (-68.84*SHR)</f>
        <v>47.105800000000002</v>
      </c>
      <c r="I28" s="29" t="s">
        <v>4</v>
      </c>
      <c r="J28" s="27">
        <v>0.97</v>
      </c>
      <c r="K28" s="4"/>
      <c r="L28" s="4"/>
      <c r="M28" s="4"/>
      <c r="N28" s="4"/>
      <c r="O28" s="4"/>
      <c r="P28" s="4"/>
      <c r="Q28" s="4"/>
      <c r="R28" s="4"/>
      <c r="S28" s="4"/>
    </row>
    <row r="29" spans="1:19" ht="18" thickBot="1" x14ac:dyDescent="0.4">
      <c r="A29" s="11" t="s">
        <v>51</v>
      </c>
      <c r="B29" s="19">
        <f xml:space="preserve"> -531.487 + (0.221395*Stature) + (629.974*SHR)</f>
        <v>171.1426100000001</v>
      </c>
      <c r="C29" s="25" t="s">
        <v>7</v>
      </c>
      <c r="D29" s="26" t="s">
        <v>60</v>
      </c>
      <c r="E29" s="27">
        <v>0.35</v>
      </c>
      <c r="F29" s="4"/>
      <c r="G29" s="11" t="s">
        <v>25</v>
      </c>
      <c r="H29" s="28">
        <f xml:space="preserve"> (91.59) + (0.81*SBA) + (-0.0124*Stature) + (0.359*BMI) + (-122.39*SHR)</f>
        <v>66.05024987754544</v>
      </c>
      <c r="I29" s="29" t="s">
        <v>4</v>
      </c>
      <c r="J29" s="27">
        <v>0.95199999999999996</v>
      </c>
      <c r="K29" s="4"/>
      <c r="L29" s="4"/>
      <c r="M29" s="4"/>
      <c r="N29" s="4"/>
      <c r="O29" s="4"/>
      <c r="P29" s="4"/>
      <c r="Q29" s="4"/>
      <c r="R29" s="4"/>
      <c r="S29" s="4"/>
    </row>
    <row r="30" spans="1:19" ht="18" thickBot="1" x14ac:dyDescent="0.4">
      <c r="A30" s="11" t="s">
        <v>52</v>
      </c>
      <c r="B30" s="19">
        <f xml:space="preserve"> -47.6163 + (0.0301624*Stature) +(202.09*SHR)</f>
        <v>108.5656056</v>
      </c>
      <c r="C30" s="25" t="s">
        <v>7</v>
      </c>
      <c r="D30" s="26" t="s">
        <v>61</v>
      </c>
      <c r="E30" s="27">
        <v>0.17</v>
      </c>
      <c r="F30" s="4"/>
      <c r="G30" s="11" t="s">
        <v>26</v>
      </c>
      <c r="H30" s="28">
        <f>(127.09) + (0.68*SBA) + (0.077*SPA) + (-0.0154*Stature) + (0.392*BMI) + (-136.15*SHR)</f>
        <v>83.557026050133203</v>
      </c>
      <c r="I30" s="29" t="s">
        <v>4</v>
      </c>
      <c r="J30" s="27">
        <v>0.90300000000000002</v>
      </c>
      <c r="K30" s="4"/>
      <c r="L30" s="21" t="s">
        <v>67</v>
      </c>
      <c r="M30" s="30"/>
      <c r="N30" s="30"/>
      <c r="O30" s="31"/>
      <c r="P30" s="4"/>
      <c r="Q30" s="4"/>
      <c r="R30" s="4"/>
      <c r="S30" s="4"/>
    </row>
    <row r="31" spans="1:19" ht="17.25" x14ac:dyDescent="0.35">
      <c r="A31" s="11" t="s">
        <v>53</v>
      </c>
      <c r="B31" s="19">
        <f xml:space="preserve"> 461.239 + (0.282351*Stature) - (1022.72*SHR)</f>
        <v>407.72719400000005</v>
      </c>
      <c r="C31" s="25" t="s">
        <v>7</v>
      </c>
      <c r="D31" s="26" t="s">
        <v>62</v>
      </c>
      <c r="E31" s="27">
        <v>0.65</v>
      </c>
      <c r="F31" s="4"/>
      <c r="G31" s="11" t="s">
        <v>27</v>
      </c>
      <c r="H31" s="28">
        <f>(-2.17) + (0.852*SPA)</f>
        <v>9.7579999999999991</v>
      </c>
      <c r="I31" s="29" t="s">
        <v>4</v>
      </c>
      <c r="J31" s="27">
        <v>0.879</v>
      </c>
      <c r="K31" s="4"/>
      <c r="L31" s="32" t="s">
        <v>36</v>
      </c>
      <c r="M31" s="33">
        <f>M32-(COS(RADIANS(H26))*B26)</f>
        <v>474.91482686211475</v>
      </c>
      <c r="N31" s="33">
        <f>N32+(SIN(RADIANS(H26))*B26)</f>
        <v>405.75704822297143</v>
      </c>
      <c r="O31" s="34" t="s">
        <v>7</v>
      </c>
      <c r="P31" s="4"/>
      <c r="Q31" s="4"/>
      <c r="R31" s="4"/>
      <c r="S31" s="4"/>
    </row>
    <row r="32" spans="1:19" ht="17.25" x14ac:dyDescent="0.35">
      <c r="A32" s="11" t="s">
        <v>54</v>
      </c>
      <c r="B32" s="19">
        <f xml:space="preserve"> 478.446 + (0.232327*Stature) - (916.436*SHR)</f>
        <v>395.46121799999992</v>
      </c>
      <c r="C32" s="25" t="s">
        <v>7</v>
      </c>
      <c r="D32" s="26" t="s">
        <v>63</v>
      </c>
      <c r="E32" s="27">
        <v>0.78</v>
      </c>
      <c r="F32" s="4"/>
      <c r="G32" s="11" t="s">
        <v>28</v>
      </c>
      <c r="H32" s="28">
        <f>(-37.19) + (-0.407*SPA) + (0.052*Stature)</f>
        <v>45.199999999999996</v>
      </c>
      <c r="I32" s="29" t="s">
        <v>4</v>
      </c>
      <c r="J32" s="27">
        <v>0.246</v>
      </c>
      <c r="K32" s="4"/>
      <c r="L32" s="11" t="s">
        <v>38</v>
      </c>
      <c r="M32" s="28">
        <f>M33+COS((PI()/2)-RADIANS(H27))*B27</f>
        <v>508.18144270964569</v>
      </c>
      <c r="N32" s="28">
        <f>N33+SIN((PI()/2)-RADIANS(H27))*B27</f>
        <v>335.37843495854941</v>
      </c>
      <c r="O32" s="35" t="s">
        <v>7</v>
      </c>
      <c r="P32" s="4"/>
      <c r="Q32" s="4"/>
      <c r="R32" s="4"/>
      <c r="S32" s="4"/>
    </row>
    <row r="33" spans="1:19" ht="18" thickBot="1" x14ac:dyDescent="0.4">
      <c r="A33" s="11" t="s">
        <v>55</v>
      </c>
      <c r="B33" s="19">
        <f>-165.152 + (0.132031*Stature)</f>
        <v>58.508514000000019</v>
      </c>
      <c r="C33" s="25" t="s">
        <v>7</v>
      </c>
      <c r="D33" s="26" t="s">
        <v>64</v>
      </c>
      <c r="E33" s="27">
        <v>0.31</v>
      </c>
      <c r="F33" s="4"/>
      <c r="G33" s="11" t="s">
        <v>29</v>
      </c>
      <c r="H33" s="28">
        <f>(4.83) + (0.077*SPA) + (0.0183*Stature)</f>
        <v>36.908200000000001</v>
      </c>
      <c r="I33" s="29" t="s">
        <v>4</v>
      </c>
      <c r="J33" s="27">
        <v>0.26400000000000001</v>
      </c>
      <c r="K33" s="4"/>
      <c r="L33" s="11" t="s">
        <v>37</v>
      </c>
      <c r="M33" s="28">
        <f>M34+COS((PI()/2)-RADIANS(H28))*B28</f>
        <v>463.63403862840289</v>
      </c>
      <c r="N33" s="28">
        <f>N34+SIN((PI()/2)-RADIANS(H28))*B28</f>
        <v>266.86211105119691</v>
      </c>
      <c r="O33" s="35" t="s">
        <v>7</v>
      </c>
      <c r="P33" s="4"/>
      <c r="Q33" s="4"/>
      <c r="R33" s="4"/>
      <c r="S33" s="4"/>
    </row>
    <row r="34" spans="1:19" ht="17.25" x14ac:dyDescent="0.35">
      <c r="A34" s="11" t="s">
        <v>18</v>
      </c>
      <c r="B34" s="19">
        <f xml:space="preserve"> 242.36 - (364.169*SHR)</f>
        <v>52.992120000000028</v>
      </c>
      <c r="C34" s="25" t="s">
        <v>7</v>
      </c>
      <c r="D34" s="26" t="s">
        <v>65</v>
      </c>
      <c r="E34" s="27">
        <v>0.18</v>
      </c>
      <c r="F34" s="4"/>
      <c r="G34" s="32" t="s">
        <v>30</v>
      </c>
      <c r="H34" s="33">
        <f xml:space="preserve"> (389.02) + (-0.0426*Stature) + (-587.84*SHR)</f>
        <v>11.178799999999967</v>
      </c>
      <c r="I34" s="36" t="s">
        <v>4</v>
      </c>
      <c r="J34" s="37">
        <v>0.23400000000000001</v>
      </c>
      <c r="K34" s="4"/>
      <c r="L34" s="11" t="s">
        <v>40</v>
      </c>
      <c r="M34" s="28">
        <f>M35+COS((PI()/2)-RADIANS(H29))*B29</f>
        <v>264.2874524866894</v>
      </c>
      <c r="N34" s="28">
        <f>N35+SIN((PI()/2)-RADIANS(H29))*B29</f>
        <v>81.655433425715785</v>
      </c>
      <c r="O34" s="35" t="s">
        <v>7</v>
      </c>
      <c r="P34" s="4"/>
      <c r="Q34" s="4"/>
      <c r="R34" s="4"/>
      <c r="S34" s="4"/>
    </row>
    <row r="35" spans="1:19" ht="18" thickBot="1" x14ac:dyDescent="0.4">
      <c r="A35" s="15" t="s">
        <v>56</v>
      </c>
      <c r="B35" s="38">
        <f xml:space="preserve"> -203.632 + (0.28529*Stature) - (34.1551*SHR)</f>
        <v>261.88860799999998</v>
      </c>
      <c r="C35" s="39" t="s">
        <v>7</v>
      </c>
      <c r="D35" s="40" t="s">
        <v>66</v>
      </c>
      <c r="E35" s="41">
        <v>0.56000000000000005</v>
      </c>
      <c r="F35" s="4"/>
      <c r="G35" s="11" t="s">
        <v>31</v>
      </c>
      <c r="H35" s="28">
        <f>(90.38) + (-0.23*SBA) + (-0.022*Stature) + (-44.21*SHR)</f>
        <v>16.322799999999997</v>
      </c>
      <c r="I35" s="29" t="s">
        <v>4</v>
      </c>
      <c r="J35" s="27">
        <v>0.58099999999999996</v>
      </c>
      <c r="K35" s="4"/>
      <c r="L35" s="11" t="s">
        <v>39</v>
      </c>
      <c r="M35" s="28">
        <f>M36+COS((PI()/2)-RADIANS(H30))*B30</f>
        <v>107.87990890773604</v>
      </c>
      <c r="N35" s="28">
        <f>N36+SIN((PI()/2)-RADIANS(H30))*B30</f>
        <v>12.182609464040384</v>
      </c>
      <c r="O35" s="35" t="s">
        <v>7</v>
      </c>
      <c r="P35" s="4"/>
      <c r="Q35" s="4"/>
      <c r="R35" s="4"/>
      <c r="S35" s="4"/>
    </row>
    <row r="36" spans="1:19" ht="17.25" x14ac:dyDescent="0.35">
      <c r="A36" s="4"/>
      <c r="B36" s="4"/>
      <c r="C36" s="4"/>
      <c r="D36" s="4"/>
      <c r="E36" s="4"/>
      <c r="F36" s="4"/>
      <c r="G36" s="11" t="s">
        <v>32</v>
      </c>
      <c r="H36" s="28">
        <f>(36.85) + (-0.13*SBA) + (0.056*SPA) + (-0.0032*Stature) + (-13.88*SHR)</f>
        <v>17.195599999999999</v>
      </c>
      <c r="I36" s="29" t="s">
        <v>4</v>
      </c>
      <c r="J36" s="27">
        <v>0.755</v>
      </c>
      <c r="K36" s="19"/>
      <c r="L36" s="11" t="s">
        <v>41</v>
      </c>
      <c r="M36" s="28">
        <v>0</v>
      </c>
      <c r="N36" s="28">
        <v>0</v>
      </c>
      <c r="O36" s="35" t="s">
        <v>7</v>
      </c>
      <c r="P36" s="4"/>
      <c r="Q36" s="4"/>
      <c r="R36" s="4"/>
      <c r="S36" s="4"/>
    </row>
    <row r="37" spans="1:19" ht="17.25" x14ac:dyDescent="0.35">
      <c r="A37" s="4"/>
      <c r="B37" s="4"/>
      <c r="C37" s="4"/>
      <c r="D37" s="4"/>
      <c r="E37" s="4"/>
      <c r="F37" s="4"/>
      <c r="G37" s="11" t="s">
        <v>33</v>
      </c>
      <c r="H37" s="28">
        <f>(248.21) + (0.71*SBA) + (-0.783*SPA) + (-0.0226*Stature) + (-153.12*SHR)</f>
        <v>161.94120000000001</v>
      </c>
      <c r="I37" s="29" t="s">
        <v>4</v>
      </c>
      <c r="J37" s="27">
        <v>0.86699999999999999</v>
      </c>
      <c r="K37" s="4"/>
      <c r="L37" s="11" t="s">
        <v>42</v>
      </c>
      <c r="M37" s="28">
        <f>M36-(COS(RADIANS(H31))*B31)</f>
        <v>-401.82836159735234</v>
      </c>
      <c r="N37" s="28">
        <f>N36+(SIN(RADIANS(H31))*B31)</f>
        <v>69.104504506588796</v>
      </c>
      <c r="O37" s="35" t="s">
        <v>7</v>
      </c>
      <c r="P37" s="4"/>
      <c r="Q37" s="4"/>
      <c r="R37" s="4"/>
      <c r="S37" s="4"/>
    </row>
    <row r="38" spans="1:19" ht="17.25" x14ac:dyDescent="0.35">
      <c r="A38" s="4"/>
      <c r="B38" s="4"/>
      <c r="C38" s="4"/>
      <c r="D38" s="4"/>
      <c r="E38" s="4"/>
      <c r="F38" s="4"/>
      <c r="G38" s="11" t="s">
        <v>34</v>
      </c>
      <c r="H38" s="28">
        <f xml:space="preserve"> (220.84) + (0.11*SBA) + (-0.478*SPA) + (-0.055*Stature)</f>
        <v>127.57799999999999</v>
      </c>
      <c r="I38" s="29" t="s">
        <v>4</v>
      </c>
      <c r="J38" s="27">
        <v>0.317</v>
      </c>
      <c r="K38" s="4"/>
      <c r="L38" s="11" t="s">
        <v>43</v>
      </c>
      <c r="M38" s="28">
        <f>M37-(COS(RADIANS(H32))*B32)</f>
        <v>-680.48386451402325</v>
      </c>
      <c r="N38" s="28">
        <f>N37-(SIN(RADIANS(H32))*B32)</f>
        <v>-211.50320322130074</v>
      </c>
      <c r="O38" s="35" t="s">
        <v>7</v>
      </c>
      <c r="P38" s="4"/>
      <c r="Q38" s="4"/>
      <c r="R38" s="4"/>
      <c r="S38" s="4"/>
    </row>
    <row r="39" spans="1:19" ht="18" thickBot="1" x14ac:dyDescent="0.4">
      <c r="A39" s="4"/>
      <c r="B39" s="4"/>
      <c r="C39" s="4"/>
      <c r="D39" s="4"/>
      <c r="E39" s="4"/>
      <c r="F39" s="4"/>
      <c r="G39" s="15" t="s">
        <v>44</v>
      </c>
      <c r="H39" s="42">
        <f>(167.62) + (0.324*SPA) + (-0.0635*Stature) + (1.511*BMI)</f>
        <v>108.81699990242666</v>
      </c>
      <c r="I39" s="43" t="s">
        <v>4</v>
      </c>
      <c r="J39" s="41">
        <v>0.92300000000000004</v>
      </c>
      <c r="K39" s="4"/>
      <c r="L39" s="11" t="s">
        <v>45</v>
      </c>
      <c r="M39" s="28">
        <f xml:space="preserve"> M38 - B33*COS(RADIANS(H33)) + B34*SIN(RADIANS(H33))</f>
        <v>-695.44359224302639</v>
      </c>
      <c r="N39" s="28">
        <f xml:space="preserve"> N38 - B33*SIN(RADIANS(H33)) - B34*COS(RADIANS(H33))</f>
        <v>-289.01202555048269</v>
      </c>
      <c r="O39" s="35" t="s">
        <v>7</v>
      </c>
      <c r="P39" s="4"/>
      <c r="Q39" s="4"/>
      <c r="R39" s="4"/>
      <c r="S39" s="4"/>
    </row>
    <row r="40" spans="1:19" ht="18" thickBot="1" x14ac:dyDescent="0.4">
      <c r="A40" s="4"/>
      <c r="B40" s="4"/>
      <c r="C40" s="4"/>
      <c r="D40" s="4"/>
      <c r="E40" s="4"/>
      <c r="F40" s="4"/>
      <c r="G40" s="44" t="s">
        <v>35</v>
      </c>
      <c r="H40" s="45">
        <f>(125.61) + (-0.36*SBA) + (0.098*SPA) + (-0.0252*Stature) + (56.19*SHR)</f>
        <v>91.912000000000006</v>
      </c>
      <c r="I40" s="46" t="s">
        <v>4</v>
      </c>
      <c r="J40" s="47">
        <v>0.64900000000000002</v>
      </c>
      <c r="K40" s="4"/>
      <c r="L40" s="15" t="s">
        <v>17</v>
      </c>
      <c r="M40" s="42">
        <f>M39 - COS(RADIANS(H33))*B35</f>
        <v>-904.84938797115683</v>
      </c>
      <c r="N40" s="42">
        <f>N39 + SIN(PI()-RADIANS(H33))*B35</f>
        <v>-131.73883738528343</v>
      </c>
      <c r="O40" s="48" t="s">
        <v>7</v>
      </c>
      <c r="P40" s="4"/>
      <c r="Q40" s="4"/>
      <c r="R40" s="4"/>
      <c r="S40" s="4"/>
    </row>
    <row r="41" spans="1:19" ht="17.25" x14ac:dyDescent="0.3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28"/>
      <c r="N41" s="28"/>
      <c r="O41" s="14"/>
      <c r="P41" s="4"/>
      <c r="Q41" s="4"/>
      <c r="R41" s="4"/>
      <c r="S41" s="4"/>
    </row>
    <row r="42" spans="1:19" ht="17.25" x14ac:dyDescent="0.35">
      <c r="M42" s="2"/>
      <c r="N42" s="2"/>
      <c r="Q42" s="4"/>
      <c r="R42" s="4"/>
      <c r="S42" s="4"/>
    </row>
    <row r="43" spans="1:19" ht="21" customHeight="1" x14ac:dyDescent="0.25">
      <c r="A43" s="56" t="s">
        <v>69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</row>
    <row r="44" spans="1:19" ht="21" customHeight="1" x14ac:dyDescent="0.25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</row>
    <row r="45" spans="1:19" ht="15.75" thickBot="1" x14ac:dyDescent="0.3">
      <c r="M45" s="1"/>
      <c r="N45" s="1"/>
      <c r="O45" s="1"/>
      <c r="P45" s="1"/>
    </row>
    <row r="46" spans="1:19" ht="18" thickBot="1" x14ac:dyDescent="0.4">
      <c r="G46" s="49" t="s">
        <v>16</v>
      </c>
      <c r="H46" s="50"/>
      <c r="I46" s="51"/>
      <c r="J46" s="52" t="s">
        <v>21</v>
      </c>
      <c r="K46" s="3"/>
      <c r="L46" s="49" t="s">
        <v>67</v>
      </c>
      <c r="M46" s="30"/>
      <c r="N46" s="30"/>
      <c r="O46" s="31"/>
      <c r="P46" s="1"/>
    </row>
    <row r="47" spans="1:19" ht="17.25" x14ac:dyDescent="0.35">
      <c r="G47" s="11" t="s">
        <v>22</v>
      </c>
      <c r="H47" s="28">
        <f>(-28) + (0.584*BMI) + (-3.62*1) + (0.406*SBA) + (0.501*1*SBA)</f>
        <v>39.894851054280053</v>
      </c>
      <c r="I47" s="29" t="s">
        <v>4</v>
      </c>
      <c r="J47" s="27">
        <v>0.59</v>
      </c>
      <c r="L47" s="32" t="s">
        <v>36</v>
      </c>
      <c r="M47" s="33">
        <f>M48-(COS(RADIANS(H47))*B26)</f>
        <v>434.98048333894866</v>
      </c>
      <c r="N47" s="33">
        <f>N48+(SIN(RADIANS(H47))*B26)</f>
        <v>434.94874702422561</v>
      </c>
      <c r="O47" s="34" t="s">
        <v>7</v>
      </c>
      <c r="P47" s="1"/>
    </row>
    <row r="48" spans="1:19" ht="17.25" x14ac:dyDescent="0.35">
      <c r="G48" s="11" t="s">
        <v>23</v>
      </c>
      <c r="H48" s="28">
        <f>(-13.6) + (0.834*1) + (0.584*SBA) + (0.413*1*SBA)</f>
        <v>47.054000000000002</v>
      </c>
      <c r="I48" s="29" t="s">
        <v>4</v>
      </c>
      <c r="J48" s="27">
        <v>0.67</v>
      </c>
      <c r="L48" s="11" t="s">
        <v>38</v>
      </c>
      <c r="M48" s="28">
        <f>M49+COS((PI()/2)-RADIANS(H48))*B27</f>
        <v>494.70480818396197</v>
      </c>
      <c r="N48" s="28">
        <f>N49+SIN((PI()/2)-RADIANS(H48))*B27</f>
        <v>385.02057905485583</v>
      </c>
      <c r="O48" s="35" t="s">
        <v>7</v>
      </c>
      <c r="P48" s="1"/>
    </row>
    <row r="49" spans="7:16" ht="17.25" x14ac:dyDescent="0.35">
      <c r="G49" s="11" t="s">
        <v>24</v>
      </c>
      <c r="H49" s="28">
        <f>-34.1 + (-0.67*BMI) + (73.9*SHR) + (4.44*1) + (0.919*SBA)</f>
        <v>44.295756495945838</v>
      </c>
      <c r="I49" s="29" t="s">
        <v>4</v>
      </c>
      <c r="J49" s="27">
        <v>0.84</v>
      </c>
      <c r="L49" s="11" t="s">
        <v>37</v>
      </c>
      <c r="M49" s="28">
        <f>M50+COS((PI()/2)-RADIANS(H49))*B28</f>
        <v>434.8825028265403</v>
      </c>
      <c r="N49" s="28">
        <f>N50+SIN((PI()/2)-RADIANS(H49))*B28</f>
        <v>329.34069369328051</v>
      </c>
      <c r="O49" s="35" t="s">
        <v>7</v>
      </c>
      <c r="P49" s="1"/>
    </row>
    <row r="50" spans="7:16" ht="17.25" x14ac:dyDescent="0.35">
      <c r="G50" s="11" t="s">
        <v>25</v>
      </c>
      <c r="H50" s="28">
        <f>30.2 + (-0.0328*Stature) + (0.794*BMI) + (1.02*SBA)</f>
        <v>59.078772152565691</v>
      </c>
      <c r="I50" s="29" t="s">
        <v>4</v>
      </c>
      <c r="J50" s="27">
        <v>0.64</v>
      </c>
      <c r="L50" s="11" t="s">
        <v>40</v>
      </c>
      <c r="M50" s="28">
        <f>M51+COS((PI()/2)-RADIANS(H50))*B29</f>
        <v>244.85534914781118</v>
      </c>
      <c r="N50" s="28">
        <f>N51+SIN((PI()/2)-RADIANS(H50))*B29</f>
        <v>134.58377928923395</v>
      </c>
      <c r="O50" s="35" t="s">
        <v>7</v>
      </c>
      <c r="P50" s="1"/>
    </row>
    <row r="51" spans="7:16" ht="17.25" x14ac:dyDescent="0.35">
      <c r="G51" s="11" t="s">
        <v>26</v>
      </c>
      <c r="H51" s="28">
        <f>84.8 + (-1.37*BMI) + (0.331*SBA)</f>
        <v>64.557352834993708</v>
      </c>
      <c r="I51" s="29" t="s">
        <v>4</v>
      </c>
      <c r="J51" s="27">
        <v>0.19</v>
      </c>
      <c r="L51" s="11" t="s">
        <v>39</v>
      </c>
      <c r="M51" s="28">
        <f>M52+COS((PI()/2)-RADIANS(H51))*B30</f>
        <v>98.036454141413543</v>
      </c>
      <c r="N51" s="28">
        <f>N52+SIN((PI()/2)-RADIANS(H51))*B30</f>
        <v>46.640587246230822</v>
      </c>
      <c r="O51" s="35" t="s">
        <v>7</v>
      </c>
      <c r="P51" s="1"/>
    </row>
    <row r="52" spans="7:16" ht="17.25" x14ac:dyDescent="0.35">
      <c r="G52" s="11" t="s">
        <v>27</v>
      </c>
      <c r="H52" s="28">
        <f xml:space="preserve"> 6 + (0.226*BMI)</f>
        <v>12.615473181964543</v>
      </c>
      <c r="I52" s="29" t="s">
        <v>4</v>
      </c>
      <c r="J52" s="27">
        <v>0.19</v>
      </c>
      <c r="L52" s="11" t="s">
        <v>41</v>
      </c>
      <c r="M52" s="28">
        <v>0</v>
      </c>
      <c r="N52" s="28">
        <v>0</v>
      </c>
      <c r="O52" s="35" t="s">
        <v>7</v>
      </c>
      <c r="P52" s="1"/>
    </row>
    <row r="53" spans="7:16" ht="17.25" x14ac:dyDescent="0.35">
      <c r="G53" s="11" t="s">
        <v>28</v>
      </c>
      <c r="H53" s="28">
        <f>(-20.9) + (0.04*Stature)</f>
        <v>46.860000000000007</v>
      </c>
      <c r="I53" s="29" t="s">
        <v>4</v>
      </c>
      <c r="J53" s="27">
        <v>0.22</v>
      </c>
      <c r="L53" s="11" t="s">
        <v>42</v>
      </c>
      <c r="M53" s="28">
        <f>M52-(COS(RADIANS(H52))*B31)</f>
        <v>-397.88376866550072</v>
      </c>
      <c r="N53" s="28">
        <f>N52+(SIN(RADIANS(H52))*B31)</f>
        <v>89.050386633927559</v>
      </c>
      <c r="O53" s="35" t="s">
        <v>7</v>
      </c>
      <c r="P53" s="1"/>
    </row>
    <row r="54" spans="7:16" ht="18" thickBot="1" x14ac:dyDescent="0.4">
      <c r="G54" s="15" t="s">
        <v>29</v>
      </c>
      <c r="H54" s="53" t="s">
        <v>19</v>
      </c>
      <c r="I54" s="43" t="s">
        <v>4</v>
      </c>
      <c r="J54" s="54" t="s">
        <v>19</v>
      </c>
      <c r="L54" s="15" t="s">
        <v>43</v>
      </c>
      <c r="M54" s="42">
        <f>M53-(COS(RADIANS(H53))*B32)</f>
        <v>-668.29356769954211</v>
      </c>
      <c r="N54" s="42">
        <f>N53-(SIN(RADIANS(H53))*B32)</f>
        <v>-199.5117652994347</v>
      </c>
      <c r="O54" s="48" t="s">
        <v>7</v>
      </c>
      <c r="P54" s="1"/>
    </row>
    <row r="55" spans="7:16" x14ac:dyDescent="0.25">
      <c r="M55" s="1"/>
      <c r="N55" s="1"/>
      <c r="O55" s="1"/>
      <c r="P55" s="1"/>
    </row>
    <row r="56" spans="7:16" x14ac:dyDescent="0.25">
      <c r="M56" s="1"/>
      <c r="N56" s="1"/>
      <c r="O56" s="1"/>
      <c r="P56" s="1"/>
    </row>
    <row r="57" spans="7:16" x14ac:dyDescent="0.25">
      <c r="M57" s="1"/>
      <c r="N57" s="1"/>
      <c r="O57" s="1"/>
      <c r="P57" s="1"/>
    </row>
    <row r="58" spans="7:16" x14ac:dyDescent="0.25">
      <c r="M58" s="1"/>
      <c r="N58" s="1"/>
      <c r="O58" s="1"/>
      <c r="P58" s="1"/>
    </row>
    <row r="59" spans="7:16" x14ac:dyDescent="0.25">
      <c r="M59" s="1"/>
      <c r="N59" s="1"/>
      <c r="O59" s="1"/>
      <c r="P59" s="1"/>
    </row>
  </sheetData>
  <mergeCells count="6">
    <mergeCell ref="A43:S44"/>
    <mergeCell ref="A16:C16"/>
    <mergeCell ref="A1:L1"/>
    <mergeCell ref="A2:D2"/>
    <mergeCell ref="B5:D5"/>
    <mergeCell ref="A22:S23"/>
  </mergeCells>
  <phoneticPr fontId="3" type="noConversion"/>
  <hyperlinks>
    <hyperlink ref="B4" r:id="rId1" display="mailto:xuguang.wang@univ-eiffel.fr" xr:uid="{30516F79-B485-42D1-A9F9-C5FB4E5A594D}"/>
  </hyperlinks>
  <pageMargins left="0.7" right="0.7" top="0.75" bottom="0.75" header="0.3" footer="0.3"/>
  <pageSetup paperSize="9" orientation="portrait" r:id="rId2"/>
  <drawing r:id="rId3"/>
  <legacy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398F7DDBD750489885FB397EAC8EF4" ma:contentTypeVersion="14" ma:contentTypeDescription="Crée un document." ma:contentTypeScope="" ma:versionID="8c05d933221c5df8c5de67f195f452cb">
  <xsd:schema xmlns:xsd="http://www.w3.org/2001/XMLSchema" xmlns:xs="http://www.w3.org/2001/XMLSchema" xmlns:p="http://schemas.microsoft.com/office/2006/metadata/properties" xmlns:ns2="b97eb595-dece-450b-a020-b8300dc02950" xmlns:ns3="653af61e-bd06-4f9a-a75f-572bcacc15dc" targetNamespace="http://schemas.microsoft.com/office/2006/metadata/properties" ma:root="true" ma:fieldsID="e55eb1f18900a81a490d4ce0b96af136" ns2:_="" ns3:_="">
    <xsd:import namespace="b97eb595-dece-450b-a020-b8300dc02950"/>
    <xsd:import namespace="653af61e-bd06-4f9a-a75f-572bcacc15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7eb595-dece-450b-a020-b8300dc029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f7afd3aa-21a1-427d-a50c-d1dd5062ef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3af61e-bd06-4f9a-a75f-572bcacc15d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3191d5d-7ed0-49bd-b128-6c0ee505dd6a}" ma:internalName="TaxCatchAll" ma:showField="CatchAllData" ma:web="653af61e-bd06-4f9a-a75f-572bcacc15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97eb595-dece-450b-a020-b8300dc02950">
      <Terms xmlns="http://schemas.microsoft.com/office/infopath/2007/PartnerControls"/>
    </lcf76f155ced4ddcb4097134ff3c332f>
    <TaxCatchAll xmlns="653af61e-bd06-4f9a-a75f-572bcacc15dc" xsi:nil="true"/>
  </documentManagement>
</p:properties>
</file>

<file path=customXml/itemProps1.xml><?xml version="1.0" encoding="utf-8"?>
<ds:datastoreItem xmlns:ds="http://schemas.openxmlformats.org/officeDocument/2006/customXml" ds:itemID="{B730F95E-544B-40A4-BA52-36F21E799DC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E3BA84-F8A6-4F29-BB87-6B6C33C1F4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7eb595-dece-450b-a020-b8300dc02950"/>
    <ds:schemaRef ds:uri="653af61e-bd06-4f9a-a75f-572bcacc15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6333392-45DC-4594-A4F2-522FFAEE8BB4}">
  <ds:schemaRefs>
    <ds:schemaRef ds:uri="http://schemas.microsoft.com/office/2006/metadata/properties"/>
    <ds:schemaRef ds:uri="http://schemas.microsoft.com/office/infopath/2007/PartnerControls"/>
    <ds:schemaRef ds:uri="b97eb595-dece-450b-a020-b8300dc02950"/>
    <ds:schemaRef ds:uri="653af61e-bd06-4f9a-a75f-572bcacc15d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5</vt:i4>
      </vt:variant>
    </vt:vector>
  </HeadingPairs>
  <TitlesOfParts>
    <vt:vector size="6" baseType="lpstr">
      <vt:lpstr>SURCA Tool</vt:lpstr>
      <vt:lpstr>BMI</vt:lpstr>
      <vt:lpstr>SBA</vt:lpstr>
      <vt:lpstr>SHR</vt:lpstr>
      <vt:lpstr>SPA</vt:lpstr>
      <vt:lpstr>Stature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Cyrille Grebonval</dc:creator>
  <cp:keywords/>
  <dc:description/>
  <cp:lastModifiedBy>Philippe Beillas</cp:lastModifiedBy>
  <cp:revision/>
  <dcterms:created xsi:type="dcterms:W3CDTF">2021-06-21T09:22:11Z</dcterms:created>
  <dcterms:modified xsi:type="dcterms:W3CDTF">2026-05-07T06:44:27Z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30fc12-c89a-4829-a476-5bf9e2086332_Enabled">
    <vt:lpwstr>true</vt:lpwstr>
  </property>
  <property fmtid="{D5CDD505-2E9C-101B-9397-08002B2CF9AE}" pid="3" name="MSIP_Label_7f30fc12-c89a-4829-a476-5bf9e2086332_SetDate">
    <vt:lpwstr>2022-03-29T08:28:03Z</vt:lpwstr>
  </property>
  <property fmtid="{D5CDD505-2E9C-101B-9397-08002B2CF9AE}" pid="4" name="MSIP_Label_7f30fc12-c89a-4829-a476-5bf9e2086332_Method">
    <vt:lpwstr>Privileged</vt:lpwstr>
  </property>
  <property fmtid="{D5CDD505-2E9C-101B-9397-08002B2CF9AE}" pid="5" name="MSIP_Label_7f30fc12-c89a-4829-a476-5bf9e2086332_Name">
    <vt:lpwstr>Not protected (Anyone)_0</vt:lpwstr>
  </property>
  <property fmtid="{D5CDD505-2E9C-101B-9397-08002B2CF9AE}" pid="6" name="MSIP_Label_7f30fc12-c89a-4829-a476-5bf9e2086332_SiteId">
    <vt:lpwstr>d6b0bbee-7cd9-4d60-bce6-4a67b543e2ae</vt:lpwstr>
  </property>
  <property fmtid="{D5CDD505-2E9C-101B-9397-08002B2CF9AE}" pid="7" name="MSIP_Label_7f30fc12-c89a-4829-a476-5bf9e2086332_ActionId">
    <vt:lpwstr>cd032c28-b744-4a82-b270-865d88587666</vt:lpwstr>
  </property>
  <property fmtid="{D5CDD505-2E9C-101B-9397-08002B2CF9AE}" pid="8" name="MSIP_Label_7f30fc12-c89a-4829-a476-5bf9e2086332_ContentBits">
    <vt:lpwstr>0</vt:lpwstr>
  </property>
  <property fmtid="{D5CDD505-2E9C-101B-9397-08002B2CF9AE}" pid="9" name="ContentTypeId">
    <vt:lpwstr>0x01010099398F7DDBD750489885FB397EAC8EF4</vt:lpwstr>
  </property>
  <property fmtid="{D5CDD505-2E9C-101B-9397-08002B2CF9AE}" pid="10" name="MediaServiceImageTags">
    <vt:lpwstr/>
  </property>
</Properties>
</file>